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<sst xmlns="http://schemas.openxmlformats.org/spreadsheetml/2006/main" count="1423" uniqueCount="258">
  <si>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</si>
  <si>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</si>
  <si>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</si>
  <si>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</si>
  <si>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</si>
  <si>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</si>
  <si>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</si>
  <si>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</si>
  <si>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</si>
  <si>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</si>
  <si>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</si>
  <si>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</si>
  <si>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</si>
  <si>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</si>
  <si>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</si>
  <si>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</si>
  <si>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</si>
  <si>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</si>
  <si>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</si>
  <si>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</si>
  <si>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</si>
  <si>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</si>
  <si>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</si>
  <si>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</si>
  <si>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</si>
  <si>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</si>
  <si>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</si>
  <si>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</si>
  <si>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</si>
  <si>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</si>
  <si>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</si>
  <si>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</si>
  <si>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</si>
  <si>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</si>
  <si>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</si>
  <si>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</si>
  <si>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</si>
  <si>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</si>
  <si>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</si>
  <si>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</si>
  <si>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</si>
  <si>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</si>
  <si>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</si>
  <si>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</si>
  <si>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</si>
  <si>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</si>
  <si>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</si>
  <si>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</si>
  <si>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</si>
  <si>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</si>
  <si>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</si>
  <si>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</si>
  <si>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</si>
  <si>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</si>
  <si>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</si>
  <si>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</si>
  <si>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</si>
  <si>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</si>
  <si>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</si>
  <si>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</si>
  <si>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</si>
  <si>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</si>
  <si>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</si>
  <si>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</si>
  <si>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</si>
  <si>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</si>
  <si>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</si>
  <si>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</si>
  <si>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</si>
  <si>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</si>
  <si>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</si>
  <si>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</si>
  <si>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</si>
  <si>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</si>
  <si>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</si>
  <si>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</si>
  <si>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</si>
  <si>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</si>
  <si>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</si>
  <si>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</si>
  <si>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</si>
  <si>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</si>
  <si>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</si>
  <si>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</si>
  <si>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</si>
  <si>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</si>
  <si>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</si>
  <si>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</si>
  <si>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</si>
  <si>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</si>
  <si>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</si>
  <si>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</si>
  <si>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</si>
  <si>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</si>
  <si>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</si>
  <si>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</si>
  <si>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</si>
  <si>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</si>
  <si>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</si>
  <si>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</si>
  <si>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</si>
  <si>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</si>
  <si>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</si>
  <si>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</si>
  <si>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</si>
  <si>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</si>
  <si>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</si>
  <si>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</si>
  <si>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</si>
  <si>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</si>
  <si>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</si>
  <si>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</si>
  <si>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</si>
  <si>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</si>
  <si>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</si>
  <si>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</si>
  <si>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</si>
  <si>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</si>
  <si>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</si>
  <si>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</si>
  <si>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</si>
  <si>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</si>
  <si>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</si>
  <si>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</si>
  <si>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</si>
  <si>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</si>
  <si>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</si>
  <si>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</si>
  <si>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</si>
  <si>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</si>
  <si>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</si>
  <si>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</si>
  <si>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</si>
  <si>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</si>
  <si>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</si>
  <si>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</si>
  <si>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</si>
  <si>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</si>
  <si>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</si>
  <si>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</si>
  <si>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</si>
  <si>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</si>
  <si>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</si>
  <si>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</si>
  <si>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</si>
  <si>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</si>
  <si>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</si>
  <si>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</si>
  <si>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</si>
  <si>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</si>
  <si>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</si>
  <si>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</si>
  <si>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</si>
  <si>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</si>
  <si>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</si>
  <si>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</si>
  <si>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</si>
  <si>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</si>
  <si>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</si>
  <si>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</si>
  <si>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</si>
  <si>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</si>
  <si>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</si>
  <si>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</si>
  <si>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</si>
  <si>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</si>
  <si>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</si>
  <si>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</si>
  <si>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</si>
  <si>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</si>
  <si>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</si>
  <si>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</si>
  <si>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</si>
  <si>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</si>
  <si>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</si>
  <si>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</si>
  <si>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</si>
  <si>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</si>
  <si>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</si>
  <si>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</si>
  <si>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</si>
  <si>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</si>
  <si>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</si>
  <si>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</si>
  <si>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</si>
  <si>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</si>
  <si>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</si>
  <si>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</si>
  <si>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</si>
  <si>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</si>
  <si>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</si>
  <si>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</si>
  <si>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</si>
  <si>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</si>
  <si>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</si>
  <si>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</si>
  <si>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</si>
  <si>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</si>
  <si>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</si>
  <si>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</si>
  <si>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</si>
  <si>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</si>
  <si>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</si>
  <si>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</si>
  <si>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</si>
  <si>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</si>
  <si>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</si>
  <si>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</si>
  <si>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</si>
  <si>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</si>
  <si>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</si>
  <si>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</si>
  <si>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</si>
  <si>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</si>
  <si>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</si>
  <si>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</si>
  <si>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</si>
  <si>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</si>
  <si>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</si>
  <si>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</si>
  <si>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</si>
  <si>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</si>
  <si>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</si>
  <si>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</si>
  <si>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</si>
  <si>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</si>
  <si>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</si>
  <si>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</si>
  <si>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</si>
  <si>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</si>
  <si>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</si>
  <si>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</si>
  <si>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</si>
  <si>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</si>
  <si>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</si>
  <si>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</si>
  <si>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</si>
  <si>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</si>
  <si>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</si>
  <si>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</si>
  <si>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</si>
  <si>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</si>
  <si>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</si>
  <si>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</si>
  <si>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</si>
  <si>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</si>
  <si>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</si>
  <si>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</si>
  <si>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</si>
  <si>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</si>
  <si>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</si>
  <si>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</si>
  <si>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</si>
  <si>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</si>
  <si>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</si>
  <si>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</si>
  <si>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</si>
  <si>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25.07.14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</si>
</sst>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7"/>
      <sheetName val="депозит"/>
      <sheetName val="залишки  (2)"/>
      <sheetName val="надх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8">
          <cell r="G8">
            <v>0</v>
          </cell>
        </row>
        <row r="9">
          <cell r="G9">
            <v>13825221.96</v>
          </cell>
        </row>
      </sheetData>
      <sheetData sheetId="13">
        <row r="52">
          <cell r="B52">
            <v>28777712.43999999</v>
          </cell>
        </row>
      </sheetData>
      <sheetData sheetId="18">
        <row r="28">
          <cell r="C28">
            <v>4870376.3</v>
          </cell>
        </row>
      </sheetData>
      <sheetData sheetId="19">
        <row r="28">
          <cell r="C28">
            <v>3219411</v>
          </cell>
        </row>
      </sheetData>
      <sheetData sheetId="20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139" sqref="J1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256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252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249</v>
      </c>
      <c r="H4" s="184" t="s">
        <v>250</v>
      </c>
      <c r="I4" s="186" t="s">
        <v>188</v>
      </c>
      <c r="J4" s="188" t="s">
        <v>189</v>
      </c>
      <c r="K4" s="190" t="s">
        <v>254</v>
      </c>
      <c r="L4" s="191"/>
      <c r="M4" s="167"/>
      <c r="N4" s="198" t="s">
        <v>257</v>
      </c>
      <c r="O4" s="186" t="s">
        <v>136</v>
      </c>
      <c r="P4" s="186" t="s">
        <v>135</v>
      </c>
      <c r="Q4" s="190" t="s">
        <v>255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248</v>
      </c>
      <c r="F5" s="181"/>
      <c r="G5" s="183"/>
      <c r="H5" s="185"/>
      <c r="I5" s="187"/>
      <c r="J5" s="189"/>
      <c r="K5" s="192"/>
      <c r="L5" s="193"/>
      <c r="M5" s="151" t="s">
        <v>251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256618.97000000003</v>
      </c>
      <c r="G8" s="22">
        <f aca="true" t="shared" si="0" ref="G8:G30">F8-E8</f>
        <v>-14615.739999999932</v>
      </c>
      <c r="H8" s="51">
        <f>F8/E8*100</f>
        <v>94.61140500786203</v>
      </c>
      <c r="I8" s="36">
        <f aca="true" t="shared" si="1" ref="I8:I17">F8-D8</f>
        <v>-231857.32999999996</v>
      </c>
      <c r="J8" s="36">
        <f aca="true" t="shared" si="2" ref="J8:J14">F8/D8*100</f>
        <v>52.53457946680321</v>
      </c>
      <c r="K8" s="36">
        <f>F8-267884.5</f>
        <v>-11265.52999999997</v>
      </c>
      <c r="L8" s="136">
        <f>F8/267884.5</f>
        <v>0.9579463164162169</v>
      </c>
      <c r="M8" s="22">
        <f>M10+M19+M33+M56+M68+M30</f>
        <v>37968.180000000015</v>
      </c>
      <c r="N8" s="22">
        <f>N10+N19+N33+N56+N68+N30</f>
        <v>30199.950000000004</v>
      </c>
      <c r="O8" s="36">
        <f aca="true" t="shared" si="3" ref="O8:O71">N8-M8</f>
        <v>-7768.2300000000105</v>
      </c>
      <c r="P8" s="36">
        <f>F8/M8*100</f>
        <v>675.8790387108361</v>
      </c>
      <c r="Q8" s="36">
        <f>N8-39945.7</f>
        <v>-9745.749999999993</v>
      </c>
      <c r="R8" s="134">
        <f>N8/39945.7</f>
        <v>0.7560250540108199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209496.23</v>
      </c>
      <c r="G9" s="22">
        <f t="shared" si="0"/>
        <v>209496.23</v>
      </c>
      <c r="H9" s="20"/>
      <c r="I9" s="56">
        <f t="shared" si="1"/>
        <v>-177516.97</v>
      </c>
      <c r="J9" s="56">
        <f t="shared" si="2"/>
        <v>54.13154641753821</v>
      </c>
      <c r="K9" s="56"/>
      <c r="L9" s="135"/>
      <c r="M9" s="20">
        <f>M10+M17</f>
        <v>30824.800000000017</v>
      </c>
      <c r="N9" s="20">
        <f>N10+N17</f>
        <v>26498.100000000006</v>
      </c>
      <c r="O9" s="36">
        <f t="shared" si="3"/>
        <v>-4326.700000000012</v>
      </c>
      <c r="P9" s="56">
        <f>F9/M9*100</f>
        <v>679.6353261010611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209496.23</v>
      </c>
      <c r="G10" s="49">
        <f t="shared" si="0"/>
        <v>-11874.869999999995</v>
      </c>
      <c r="H10" s="40">
        <f aca="true" t="shared" si="4" ref="H10:H17">F10/E10*100</f>
        <v>94.63576320486278</v>
      </c>
      <c r="I10" s="56">
        <f t="shared" si="1"/>
        <v>-177516.97</v>
      </c>
      <c r="J10" s="56">
        <f t="shared" si="2"/>
        <v>54.13154641753821</v>
      </c>
      <c r="K10" s="141">
        <f>F10-211325.8</f>
        <v>-1829.5699999999779</v>
      </c>
      <c r="L10" s="142">
        <f>F10/211325.8</f>
        <v>0.9913424200925776</v>
      </c>
      <c r="M10" s="40">
        <f>E10-червень!E10</f>
        <v>30824.800000000017</v>
      </c>
      <c r="N10" s="40">
        <f>F10-червень!F10</f>
        <v>26498.100000000006</v>
      </c>
      <c r="O10" s="53">
        <f t="shared" si="3"/>
        <v>-4326.700000000012</v>
      </c>
      <c r="P10" s="56">
        <f aca="true" t="shared" si="5" ref="P10:P17">N10/M10*100</f>
        <v>85.96357478394017</v>
      </c>
      <c r="Q10" s="141">
        <f>N10-32192.1</f>
        <v>-5693.999999999993</v>
      </c>
      <c r="R10" s="142">
        <f>N10/32192.1</f>
        <v>0.8231243068951701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337.1</v>
      </c>
      <c r="G19" s="49">
        <f t="shared" si="0"/>
        <v>-696.4999999999999</v>
      </c>
      <c r="H19" s="40">
        <f aca="true" t="shared" si="6" ref="H19:H29">F19/E19*100</f>
        <v>32.61416408668731</v>
      </c>
      <c r="I19" s="56">
        <f aca="true" t="shared" si="7" ref="I19:I29">F19-D19</f>
        <v>-662.9</v>
      </c>
      <c r="J19" s="56">
        <f aca="true" t="shared" si="8" ref="J19:J29">F19/D19*100</f>
        <v>33.71</v>
      </c>
      <c r="K19" s="56">
        <f>F19-6042.8</f>
        <v>-5705.7</v>
      </c>
      <c r="L19" s="135">
        <f>F19/6042.8</f>
        <v>0.05578539749784868</v>
      </c>
      <c r="M19" s="40">
        <f>E19-червень!E19</f>
        <v>10.999999999999886</v>
      </c>
      <c r="N19" s="40">
        <f>F19-червень!F19</f>
        <v>19.230000000000018</v>
      </c>
      <c r="O19" s="53">
        <f t="shared" si="3"/>
        <v>8.230000000000132</v>
      </c>
      <c r="P19" s="56">
        <f aca="true" t="shared" si="9" ref="P19:P29">N19/M19*100</f>
        <v>174.81818181818377</v>
      </c>
      <c r="Q19" s="56">
        <f>N19-422.4</f>
        <v>-403.16999999999996</v>
      </c>
      <c r="R19" s="135">
        <f>N19/422.4</f>
        <v>0.04552556818181823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839.15</v>
      </c>
      <c r="G29" s="49">
        <f t="shared" si="0"/>
        <v>105.54999999999995</v>
      </c>
      <c r="H29" s="40">
        <f t="shared" si="6"/>
        <v>114.3879498364231</v>
      </c>
      <c r="I29" s="56">
        <f t="shared" si="7"/>
        <v>-90.85000000000002</v>
      </c>
      <c r="J29" s="56">
        <f t="shared" si="8"/>
        <v>90.23118279569893</v>
      </c>
      <c r="K29" s="148">
        <f>F29-2423.68</f>
        <v>-1584.5299999999997</v>
      </c>
      <c r="L29" s="149">
        <f>F29/2423.68</f>
        <v>0.3462297002904674</v>
      </c>
      <c r="M29" s="40">
        <f>E29-червень!E29</f>
        <v>-29</v>
      </c>
      <c r="N29" s="40">
        <f>F29-червень!F29</f>
        <v>11</v>
      </c>
      <c r="O29" s="148">
        <f t="shared" si="3"/>
        <v>40</v>
      </c>
      <c r="P29" s="145">
        <f t="shared" si="9"/>
        <v>-37.93103448275862</v>
      </c>
      <c r="Q29" s="148">
        <f>N29-422.37</f>
        <v>-411.37</v>
      </c>
      <c r="R29" s="149">
        <f>N29/422.37</f>
        <v>0.02604351634822549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43021.67</v>
      </c>
      <c r="G33" s="49">
        <f aca="true" t="shared" si="14" ref="G33:G72">F33-E33</f>
        <v>-1839.4400000000023</v>
      </c>
      <c r="H33" s="40">
        <f aca="true" t="shared" si="15" ref="H33:H67">F33/E33*100</f>
        <v>95.8997002080421</v>
      </c>
      <c r="I33" s="56">
        <f>F33-D33</f>
        <v>-50544.33</v>
      </c>
      <c r="J33" s="56">
        <f aca="true" t="shared" si="16" ref="J33:J72">F33/D33*100</f>
        <v>45.98002479533164</v>
      </c>
      <c r="K33" s="141">
        <f>F33-46836.9</f>
        <v>-3815.230000000003</v>
      </c>
      <c r="L33" s="142">
        <f>F33/46836.9</f>
        <v>0.9185422177812792</v>
      </c>
      <c r="M33" s="40">
        <f>E33-червень!E33</f>
        <v>6579.879999999997</v>
      </c>
      <c r="N33" s="40">
        <f>F33-червень!F33</f>
        <v>3188.6100000000006</v>
      </c>
      <c r="O33" s="53">
        <f t="shared" si="3"/>
        <v>-3391.269999999997</v>
      </c>
      <c r="P33" s="56">
        <f aca="true" t="shared" si="17" ref="P33:P67">N33/M33*100</f>
        <v>48.460002310072554</v>
      </c>
      <c r="Q33" s="141">
        <f>N33-6866.9</f>
        <v>-3678.289999999999</v>
      </c>
      <c r="R33" s="142">
        <f>N33/6866.9</f>
        <v>0.46434490090142577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32127.76</v>
      </c>
      <c r="G55" s="144">
        <f t="shared" si="14"/>
        <v>-983.0499999999993</v>
      </c>
      <c r="H55" s="146">
        <f t="shared" si="15"/>
        <v>97.03103004728668</v>
      </c>
      <c r="I55" s="145">
        <f t="shared" si="18"/>
        <v>-38138.240000000005</v>
      </c>
      <c r="J55" s="145">
        <f t="shared" si="16"/>
        <v>45.72305240087667</v>
      </c>
      <c r="K55" s="148">
        <f>F55-33694.14</f>
        <v>-1566.380000000001</v>
      </c>
      <c r="L55" s="149">
        <f>F55/33694.14</f>
        <v>0.9535117976004136</v>
      </c>
      <c r="M55" s="40">
        <f>E55-червень!E55</f>
        <v>4779.879999999997</v>
      </c>
      <c r="N55" s="40">
        <f>F55-червень!F55</f>
        <v>2361.1699999999983</v>
      </c>
      <c r="O55" s="148">
        <f t="shared" si="3"/>
        <v>-2418.709999999999</v>
      </c>
      <c r="P55" s="148">
        <f t="shared" si="17"/>
        <v>49.39810204440278</v>
      </c>
      <c r="Q55" s="163">
        <f>N55-4878.99</f>
        <v>-2517.8200000000015</v>
      </c>
      <c r="R55" s="164">
        <f>N55/4878.99</f>
        <v>0.48394647252812534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0.36+3759.31</f>
        <v>3759.67</v>
      </c>
      <c r="G56" s="49">
        <f t="shared" si="14"/>
        <v>-190.6300000000001</v>
      </c>
      <c r="H56" s="40">
        <f t="shared" si="15"/>
        <v>95.17429056021062</v>
      </c>
      <c r="I56" s="56">
        <f t="shared" si="18"/>
        <v>-3100.33</v>
      </c>
      <c r="J56" s="56">
        <f t="shared" si="16"/>
        <v>54.80568513119534</v>
      </c>
      <c r="K56" s="56">
        <f>F56-3653.5</f>
        <v>106.17000000000007</v>
      </c>
      <c r="L56" s="135">
        <f>F56/3653.5</f>
        <v>1.0290598056658</v>
      </c>
      <c r="M56" s="40">
        <f>E56-червень!E56</f>
        <v>552</v>
      </c>
      <c r="N56" s="40">
        <f>F56-червень!F56</f>
        <v>493.5999999999999</v>
      </c>
      <c r="O56" s="53">
        <f t="shared" si="3"/>
        <v>-58.40000000000009</v>
      </c>
      <c r="P56" s="56">
        <f t="shared" si="17"/>
        <v>89.42028985507244</v>
      </c>
      <c r="Q56" s="56">
        <f>N56-464.2</f>
        <v>29.39999999999992</v>
      </c>
      <c r="R56" s="135">
        <f>N56/464.2</f>
        <v>1.0633347694959068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F68-0.5</f>
        <v>0.48</v>
      </c>
      <c r="L68" s="135"/>
      <c r="M68" s="40">
        <f>E68-червень!E68</f>
        <v>0</v>
      </c>
      <c r="N68" s="40">
        <f>F68-червень!F68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7363.029999999999</v>
      </c>
      <c r="G74" s="50">
        <f aca="true" t="shared" si="24" ref="G74:G92">F74-E74</f>
        <v>-1615.9700000000012</v>
      </c>
      <c r="H74" s="51">
        <f aca="true" t="shared" si="25" ref="H74:H87">F74/E74*100</f>
        <v>82.00278427441808</v>
      </c>
      <c r="I74" s="36">
        <f aca="true" t="shared" si="26" ref="I74:I92">F74-D74</f>
        <v>-10995.27</v>
      </c>
      <c r="J74" s="36">
        <f aca="true" t="shared" si="27" ref="J74:J92">F74/D74*100</f>
        <v>40.10736288218408</v>
      </c>
      <c r="K74" s="36">
        <f>F74-11260</f>
        <v>-3896.970000000001</v>
      </c>
      <c r="L74" s="136">
        <f>F74/11260</f>
        <v>0.6539103019538187</v>
      </c>
      <c r="M74" s="22">
        <f>M77+M86+M88+M89+M94+M95+M96+M97+M99+M87+M104</f>
        <v>1550.5</v>
      </c>
      <c r="N74" s="22">
        <f>N77+N86+N88+N89+N94+N95+N96+N97+N99+N32+N104+N87+N103</f>
        <v>1021.4500000000002</v>
      </c>
      <c r="O74" s="55">
        <f aca="true" t="shared" si="28" ref="O74:O92">N74-M74</f>
        <v>-529.0499999999998</v>
      </c>
      <c r="P74" s="36">
        <f>N74/M74*100</f>
        <v>65.87874879071268</v>
      </c>
      <c r="Q74" s="36">
        <f>N74-2110.7</f>
        <v>-1089.2499999999995</v>
      </c>
      <c r="R74" s="136">
        <f>N74/2110.7</f>
        <v>0.48393897759037297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F77-1684.2</f>
        <v>-1579.01</v>
      </c>
      <c r="L77" s="135">
        <f>F77/1684.2</f>
        <v>0.062456952855955344</v>
      </c>
      <c r="M77" s="40">
        <f>E77-червень!E77</f>
        <v>0</v>
      </c>
      <c r="N77" s="40">
        <f>F77-червень!F77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N77-14.3</f>
        <v>-14.3</v>
      </c>
      <c r="R77" s="135">
        <f>N77/14.3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76.2</v>
      </c>
      <c r="G89" s="49">
        <f t="shared" si="24"/>
        <v>-22.799999999999997</v>
      </c>
      <c r="H89" s="40">
        <f>F89/E89*100</f>
        <v>76.96969696969698</v>
      </c>
      <c r="I89" s="56">
        <f t="shared" si="26"/>
        <v>-98.8</v>
      </c>
      <c r="J89" s="56">
        <f t="shared" si="27"/>
        <v>43.542857142857144</v>
      </c>
      <c r="K89" s="56">
        <f>F89-94</f>
        <v>-17.799999999999997</v>
      </c>
      <c r="L89" s="135">
        <f>F89/94</f>
        <v>0.8106382978723404</v>
      </c>
      <c r="M89" s="40">
        <f>E89-червень!E89</f>
        <v>15</v>
      </c>
      <c r="N89" s="40">
        <f>F89-червень!F89</f>
        <v>14.43</v>
      </c>
      <c r="O89" s="53">
        <f t="shared" si="28"/>
        <v>-0.5700000000000003</v>
      </c>
      <c r="P89" s="56">
        <f>N89/M89*100</f>
        <v>96.2</v>
      </c>
      <c r="Q89" s="56">
        <f>N89-12.8</f>
        <v>1.629999999999999</v>
      </c>
      <c r="R89" s="135">
        <f>N89/12.8</f>
        <v>1.1273437499999999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507.62</v>
      </c>
      <c r="G96" s="49">
        <f t="shared" si="31"/>
        <v>-96.88</v>
      </c>
      <c r="H96" s="40">
        <f>F96/E96*100</f>
        <v>83.97353184449958</v>
      </c>
      <c r="I96" s="56">
        <f t="shared" si="32"/>
        <v>-692.38</v>
      </c>
      <c r="J96" s="56">
        <f>F96/D96*100</f>
        <v>42.30166666666666</v>
      </c>
      <c r="K96" s="56">
        <f>F96-602.5</f>
        <v>-94.88</v>
      </c>
      <c r="L96" s="135">
        <f>F96/602.5</f>
        <v>0.8425228215767635</v>
      </c>
      <c r="M96" s="40">
        <f>E96-червень!E96</f>
        <v>130</v>
      </c>
      <c r="N96" s="40">
        <f>F96-червень!F96</f>
        <v>92.29000000000002</v>
      </c>
      <c r="O96" s="53">
        <f t="shared" si="33"/>
        <v>-37.70999999999998</v>
      </c>
      <c r="P96" s="56">
        <f>N96/M96*100</f>
        <v>70.9923076923077</v>
      </c>
      <c r="Q96" s="56">
        <f>N96-139.4</f>
        <v>-47.109999999999985</v>
      </c>
      <c r="R96" s="135">
        <f>N96/139.4</f>
        <v>0.6620516499282642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2291.91</v>
      </c>
      <c r="G99" s="49">
        <f t="shared" si="31"/>
        <v>104.90999999999985</v>
      </c>
      <c r="H99" s="40">
        <f>F99/E99*100</f>
        <v>104.79698216735254</v>
      </c>
      <c r="I99" s="56">
        <f t="shared" si="32"/>
        <v>-2280.79</v>
      </c>
      <c r="J99" s="56">
        <f>F99/D99*100</f>
        <v>50.12159118245238</v>
      </c>
      <c r="K99" s="56">
        <f>F99-2623.7</f>
        <v>-331.78999999999996</v>
      </c>
      <c r="L99" s="135">
        <f>F99/2623.7</f>
        <v>0.8735411822998056</v>
      </c>
      <c r="M99" s="40">
        <f>E99-червень!E99</f>
        <v>350</v>
      </c>
      <c r="N99" s="40">
        <f>F99-червень!F99</f>
        <v>322.6299999999999</v>
      </c>
      <c r="O99" s="53">
        <f t="shared" si="33"/>
        <v>-27.37000000000012</v>
      </c>
      <c r="P99" s="56">
        <f>N99/M99*100</f>
        <v>92.17999999999996</v>
      </c>
      <c r="Q99" s="56">
        <f>N99-632</f>
        <v>-309.3700000000001</v>
      </c>
      <c r="R99" s="135">
        <f>N99/632</f>
        <v>0.5104905063291137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460.5</v>
      </c>
      <c r="G102" s="144"/>
      <c r="H102" s="146"/>
      <c r="I102" s="145"/>
      <c r="J102" s="145"/>
      <c r="K102" s="148">
        <f>F102-325</f>
        <v>135.5</v>
      </c>
      <c r="L102" s="149">
        <f>F102/325</f>
        <v>1.416923076923077</v>
      </c>
      <c r="M102" s="40">
        <f>E102-червень!E102</f>
        <v>0</v>
      </c>
      <c r="N102" s="40">
        <f>F102-червень!F102</f>
        <v>97.81</v>
      </c>
      <c r="O102" s="53"/>
      <c r="P102" s="60"/>
      <c r="Q102" s="60">
        <f>N102-80.2</f>
        <v>17.61</v>
      </c>
      <c r="R102" s="138">
        <f>N102/80.2</f>
        <v>1.219576059850374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-51.37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14.13</v>
      </c>
      <c r="G105" s="49">
        <f>F105-E105</f>
        <v>-4.0699999999999985</v>
      </c>
      <c r="H105" s="40">
        <f>F105/E105*100</f>
        <v>77.63736263736266</v>
      </c>
      <c r="I105" s="56">
        <f t="shared" si="34"/>
        <v>-30.869999999999997</v>
      </c>
      <c r="J105" s="56">
        <f aca="true" t="shared" si="36" ref="J105:J110">F105/D105*100</f>
        <v>31.4</v>
      </c>
      <c r="K105" s="56">
        <f>F105-13.4</f>
        <v>0.7300000000000004</v>
      </c>
      <c r="L105" s="135">
        <f>F105/13.4</f>
        <v>1.0544776119402985</v>
      </c>
      <c r="M105" s="40">
        <f>E105-червень!E105</f>
        <v>3</v>
      </c>
      <c r="N105" s="40">
        <f>F105-червень!F105</f>
        <v>0.22000000000000064</v>
      </c>
      <c r="O105" s="53">
        <f t="shared" si="35"/>
        <v>-2.7799999999999994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263996.21</v>
      </c>
      <c r="G107" s="50">
        <f>F107-E107</f>
        <v>-16235.699999999953</v>
      </c>
      <c r="H107" s="51">
        <f>F107/E107*100</f>
        <v>94.20633431788694</v>
      </c>
      <c r="I107" s="36">
        <f t="shared" si="34"/>
        <v>-242883.38999999996</v>
      </c>
      <c r="J107" s="36">
        <f t="shared" si="36"/>
        <v>52.08262672240115</v>
      </c>
      <c r="K107" s="36">
        <f>F107-279160.4</f>
        <v>-15164.190000000002</v>
      </c>
      <c r="L107" s="136">
        <f>F107/279160.4</f>
        <v>0.9456792940546008</v>
      </c>
      <c r="M107" s="22">
        <f>M8+M74+M105+M106</f>
        <v>39521.680000000015</v>
      </c>
      <c r="N107" s="22">
        <f>N8+N74+N105+N106</f>
        <v>31221.620000000006</v>
      </c>
      <c r="O107" s="55">
        <f t="shared" si="35"/>
        <v>-8300.060000000009</v>
      </c>
      <c r="P107" s="36">
        <f>N107/M107*100</f>
        <v>78.99871665374548</v>
      </c>
      <c r="Q107" s="36">
        <f>N107-42056.4</f>
        <v>-10834.779999999995</v>
      </c>
      <c r="R107" s="136">
        <f>N107/42056.4</f>
        <v>0.7423750011888798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210003.85</v>
      </c>
      <c r="G108" s="71">
        <f>G10-G18+G96</f>
        <v>-11971.749999999995</v>
      </c>
      <c r="H108" s="72">
        <f>F108/E108*100</f>
        <v>94.60672704567529</v>
      </c>
      <c r="I108" s="52">
        <f t="shared" si="34"/>
        <v>-178209.35</v>
      </c>
      <c r="J108" s="52">
        <f t="shared" si="36"/>
        <v>54.09497925366783</v>
      </c>
      <c r="K108" s="52">
        <f>F108-212017.3</f>
        <v>-2013.4499999999825</v>
      </c>
      <c r="L108" s="137">
        <f>F108/212017.3</f>
        <v>0.9905033693005242</v>
      </c>
      <c r="M108" s="71">
        <f>M10-M18+M96</f>
        <v>30954.800000000017</v>
      </c>
      <c r="N108" s="71">
        <f>N10-N18+N96</f>
        <v>26590.390000000007</v>
      </c>
      <c r="O108" s="53">
        <f t="shared" si="35"/>
        <v>-4364.410000000011</v>
      </c>
      <c r="P108" s="52">
        <f>N108/M108*100</f>
        <v>85.90070037603212</v>
      </c>
      <c r="Q108" s="52">
        <f>N108-32331.5</f>
        <v>-5741.109999999993</v>
      </c>
      <c r="R108" s="137">
        <f>N108/32331.5</f>
        <v>0.8224298284954303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53992.360000000015</v>
      </c>
      <c r="G109" s="62">
        <f>F109-E109</f>
        <v>-4263.949999999953</v>
      </c>
      <c r="H109" s="72">
        <f>F109/E109*100</f>
        <v>92.68070703413939</v>
      </c>
      <c r="I109" s="52">
        <f t="shared" si="34"/>
        <v>-64674.03999999995</v>
      </c>
      <c r="J109" s="52">
        <f t="shared" si="36"/>
        <v>45.4992820208585</v>
      </c>
      <c r="K109" s="52">
        <f>F109-67143.1</f>
        <v>-13150.73999999999</v>
      </c>
      <c r="L109" s="137">
        <f>F109/67143.1</f>
        <v>0.8041386233283838</v>
      </c>
      <c r="M109" s="71">
        <f>M107-M108</f>
        <v>8566.879999999997</v>
      </c>
      <c r="N109" s="71">
        <f>N107-N108</f>
        <v>4631.23</v>
      </c>
      <c r="O109" s="53">
        <f t="shared" si="35"/>
        <v>-3935.649999999998</v>
      </c>
      <c r="P109" s="52">
        <f>N109/M109*100</f>
        <v>54.05970434977496</v>
      </c>
      <c r="Q109" s="52">
        <f>N109-9724.9</f>
        <v>-5093.67</v>
      </c>
      <c r="R109" s="137">
        <f>N109/9924.9</f>
        <v>0.4666273715604187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210003.85</v>
      </c>
      <c r="G110" s="111">
        <f>F110-E110</f>
        <v>-6601.850000000006</v>
      </c>
      <c r="H110" s="72">
        <f>F110/E110*100</f>
        <v>96.95213468528297</v>
      </c>
      <c r="I110" s="81">
        <f t="shared" si="34"/>
        <v>-178209.35</v>
      </c>
      <c r="J110" s="52">
        <f t="shared" si="36"/>
        <v>54.09497925366783</v>
      </c>
      <c r="K110" s="52"/>
      <c r="L110" s="137"/>
      <c r="M110" s="72">
        <f>E110-травень!E109</f>
        <v>65489.30000000002</v>
      </c>
      <c r="N110" s="71">
        <f>N108</f>
        <v>26590.390000000007</v>
      </c>
      <c r="O110" s="118">
        <f t="shared" si="35"/>
        <v>-38898.91000000001</v>
      </c>
      <c r="P110" s="52">
        <f>N110/M110*100</f>
        <v>40.60264806617264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753.91</v>
      </c>
      <c r="G115" s="49">
        <f t="shared" si="37"/>
        <v>-1270.69</v>
      </c>
      <c r="H115" s="40">
        <f aca="true" t="shared" si="39" ref="H115:H126">F115/E115*100</f>
        <v>37.237479008199145</v>
      </c>
      <c r="I115" s="60">
        <f t="shared" si="38"/>
        <v>-2917.59</v>
      </c>
      <c r="J115" s="60">
        <f aca="true" t="shared" si="40" ref="J115:J121">F115/D115*100</f>
        <v>20.53411412229334</v>
      </c>
      <c r="K115" s="60">
        <f>F115-2198.8</f>
        <v>-1444.8900000000003</v>
      </c>
      <c r="L115" s="138">
        <f>F115/2198.8</f>
        <v>0.3428733854829907</v>
      </c>
      <c r="M115" s="40">
        <f>E115-червень!E115</f>
        <v>327.5</v>
      </c>
      <c r="N115" s="40">
        <f>F115-червень!F115</f>
        <v>147.82999999999993</v>
      </c>
      <c r="O115" s="53">
        <f aca="true" t="shared" si="41" ref="O115:O126">N115-M115</f>
        <v>-179.67000000000007</v>
      </c>
      <c r="P115" s="60">
        <f>N115/M115*100</f>
        <v>45.1389312977099</v>
      </c>
      <c r="Q115" s="60">
        <f>N115-307.3</f>
        <v>-159.47000000000008</v>
      </c>
      <c r="R115" s="138">
        <f>N115/307.3</f>
        <v>0.4810608525870482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936.11</v>
      </c>
      <c r="G117" s="62">
        <f t="shared" si="37"/>
        <v>-1244.9899999999998</v>
      </c>
      <c r="H117" s="72">
        <f t="shared" si="39"/>
        <v>42.919169226537065</v>
      </c>
      <c r="I117" s="61">
        <f t="shared" si="38"/>
        <v>-3003.49</v>
      </c>
      <c r="J117" s="61">
        <f t="shared" si="40"/>
        <v>23.761549395877754</v>
      </c>
      <c r="K117" s="61">
        <f>F117-2366</f>
        <v>-1429.8899999999999</v>
      </c>
      <c r="L117" s="139">
        <f>F117/2366</f>
        <v>0.3956508875739645</v>
      </c>
      <c r="M117" s="62">
        <f>M115+M116+M114</f>
        <v>349.5</v>
      </c>
      <c r="N117" s="38">
        <f>SUM(N114:N116)</f>
        <v>165.95999999999992</v>
      </c>
      <c r="O117" s="61">
        <f t="shared" si="41"/>
        <v>-183.54000000000008</v>
      </c>
      <c r="P117" s="61">
        <f>N117/M117*100</f>
        <v>47.48497854077251</v>
      </c>
      <c r="Q117" s="61">
        <f>N117-335.5</f>
        <v>-169.54000000000008</v>
      </c>
      <c r="R117" s="139">
        <f>N117/335.5</f>
        <v>0.49466467958271215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180.46</v>
      </c>
      <c r="G119" s="49">
        <f t="shared" si="37"/>
        <v>-2.039999999999992</v>
      </c>
      <c r="H119" s="40">
        <f t="shared" si="39"/>
        <v>98.88219178082193</v>
      </c>
      <c r="I119" s="60">
        <f t="shared" si="38"/>
        <v>-86.73999999999998</v>
      </c>
      <c r="J119" s="60">
        <f t="shared" si="40"/>
        <v>67.5374251497006</v>
      </c>
      <c r="K119" s="60">
        <f>F119-172.6</f>
        <v>7.860000000000014</v>
      </c>
      <c r="L119" s="138">
        <f>F119/172.6</f>
        <v>1.0455388180764775</v>
      </c>
      <c r="M119" s="40">
        <f>E119-червень!E119</f>
        <v>73</v>
      </c>
      <c r="N119" s="40">
        <f>F119-червень!F119</f>
        <v>42.18000000000001</v>
      </c>
      <c r="O119" s="53">
        <f>N119-M119</f>
        <v>-30.819999999999993</v>
      </c>
      <c r="P119" s="60">
        <f>N119/M119*100</f>
        <v>57.78082191780823</v>
      </c>
      <c r="Q119" s="60">
        <f>N119-76.8</f>
        <v>-34.61999999999999</v>
      </c>
      <c r="R119" s="138">
        <f>N119/76.8</f>
        <v>0.5492187500000001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44625.47</v>
      </c>
      <c r="G120" s="49">
        <f t="shared" si="37"/>
        <v>3312.8700000000026</v>
      </c>
      <c r="H120" s="40">
        <f t="shared" si="39"/>
        <v>108.01903051369317</v>
      </c>
      <c r="I120" s="53">
        <f t="shared" si="38"/>
        <v>-27350.520000000004</v>
      </c>
      <c r="J120" s="60">
        <f t="shared" si="40"/>
        <v>62.000494887253375</v>
      </c>
      <c r="K120" s="60">
        <f>F120-39659.2</f>
        <v>4966.270000000004</v>
      </c>
      <c r="L120" s="138">
        <f>F120/39659.2</f>
        <v>1.1252236555452455</v>
      </c>
      <c r="M120" s="40">
        <f>E120-червень!E120</f>
        <v>7100</v>
      </c>
      <c r="N120" s="40">
        <f>F120-червень!F120</f>
        <v>6571.760000000002</v>
      </c>
      <c r="O120" s="53">
        <f t="shared" si="41"/>
        <v>-528.239999999998</v>
      </c>
      <c r="P120" s="60">
        <f aca="true" t="shared" si="42" ref="P120:P125">N120/M120*100</f>
        <v>92.56000000000003</v>
      </c>
      <c r="Q120" s="60">
        <v>7148.5</v>
      </c>
      <c r="R120" s="138">
        <f>N120/7148.5</f>
        <v>0.9193201370916978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2222.99</v>
      </c>
      <c r="G122" s="49">
        <f t="shared" si="37"/>
        <v>-5009.51</v>
      </c>
      <c r="H122" s="40">
        <f t="shared" si="39"/>
        <v>30.736121673003797</v>
      </c>
      <c r="I122" s="60">
        <f t="shared" si="38"/>
        <v>-20855.010000000002</v>
      </c>
      <c r="J122" s="60">
        <f>F122/D122*100</f>
        <v>9.632507149666349</v>
      </c>
      <c r="K122" s="60">
        <f>F122-14177.3</f>
        <v>-11954.31</v>
      </c>
      <c r="L122" s="138">
        <f>F122/14177.3</f>
        <v>0.15679924950448956</v>
      </c>
      <c r="M122" s="40">
        <f>E122-червень!E122</f>
        <v>2409.8999999999996</v>
      </c>
      <c r="N122" s="40">
        <f>F122-червень!F122</f>
        <v>105.85999999999967</v>
      </c>
      <c r="O122" s="53">
        <f t="shared" si="41"/>
        <v>-2304.04</v>
      </c>
      <c r="P122" s="60">
        <f t="shared" si="42"/>
        <v>4.392713390597107</v>
      </c>
      <c r="Q122" s="60">
        <f>N122-329.4</f>
        <v>-223.5400000000003</v>
      </c>
      <c r="R122" s="138">
        <f>N122/329.4</f>
        <v>0.3213721918639942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49471.27</v>
      </c>
      <c r="G124" s="62">
        <f t="shared" si="37"/>
        <v>-1991.3700000000026</v>
      </c>
      <c r="H124" s="72">
        <f t="shared" si="39"/>
        <v>96.13045502523772</v>
      </c>
      <c r="I124" s="61">
        <f t="shared" si="38"/>
        <v>-57849.920000000006</v>
      </c>
      <c r="J124" s="61">
        <f>F124/D124*100</f>
        <v>46.09646054055121</v>
      </c>
      <c r="K124" s="61">
        <f>F124-56479.4</f>
        <v>-7008.130000000005</v>
      </c>
      <c r="L124" s="139">
        <f>F124/56479.4</f>
        <v>0.8759170600254251</v>
      </c>
      <c r="M124" s="62">
        <f>M120+M121+M122+M123+M119</f>
        <v>9788.49</v>
      </c>
      <c r="N124" s="62">
        <f>N120+N121+N122+N123+N119</f>
        <v>6774.900000000002</v>
      </c>
      <c r="O124" s="61">
        <f t="shared" si="41"/>
        <v>-3013.5899999999974</v>
      </c>
      <c r="P124" s="61">
        <f t="shared" si="42"/>
        <v>69.21292252431174</v>
      </c>
      <c r="Q124" s="61">
        <f>N124-8200.3</f>
        <v>-1425.399999999997</v>
      </c>
      <c r="R124" s="139">
        <f>N124/8200.3</f>
        <v>0.826177091082034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5303.91</v>
      </c>
      <c r="G128" s="49">
        <f aca="true" t="shared" si="43" ref="G128:G135">F128-E128</f>
        <v>288.40999999999985</v>
      </c>
      <c r="H128" s="40">
        <f>F128/E128*100</f>
        <v>105.75037384109261</v>
      </c>
      <c r="I128" s="60">
        <f aca="true" t="shared" si="44" ref="I128:I135">F128-D128</f>
        <v>-3396.09</v>
      </c>
      <c r="J128" s="60">
        <f>F128/D128*100</f>
        <v>60.96448275862068</v>
      </c>
      <c r="K128" s="60">
        <f>F128-6320.8</f>
        <v>-1016.8900000000003</v>
      </c>
      <c r="L128" s="138">
        <f>F128/6320.8</f>
        <v>0.8391200480951778</v>
      </c>
      <c r="M128" s="40">
        <f>E128-червень!E128</f>
        <v>3</v>
      </c>
      <c r="N128" s="40">
        <f>F128-червень!F128</f>
        <v>8.349999999999454</v>
      </c>
      <c r="O128" s="53">
        <f aca="true" t="shared" si="45" ref="O128:O135">N128-M128</f>
        <v>5.349999999999454</v>
      </c>
      <c r="P128" s="60">
        <f>N128/M128*100</f>
        <v>278.3333333333152</v>
      </c>
      <c r="Q128" s="60">
        <f>N128-19.4</f>
        <v>-11.050000000000544</v>
      </c>
      <c r="R128" s="162">
        <f>N128/19.4</f>
        <v>0.4304123711339925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0.41</v>
      </c>
      <c r="G129" s="49">
        <f t="shared" si="43"/>
        <v>0.41</v>
      </c>
      <c r="H129" s="40"/>
      <c r="I129" s="60">
        <f t="shared" si="44"/>
        <v>0.41</v>
      </c>
      <c r="J129" s="60"/>
      <c r="K129" s="60">
        <f>F129-(-0.1)</f>
        <v>0.51</v>
      </c>
      <c r="L129" s="138">
        <f>F129/(-0.1)</f>
        <v>-4.1</v>
      </c>
      <c r="M129" s="40">
        <f>E129-червень!E129</f>
        <v>0</v>
      </c>
      <c r="N129" s="40">
        <f>F129-червень!F129</f>
        <v>0.14999999999999997</v>
      </c>
      <c r="O129" s="53">
        <f t="shared" si="45"/>
        <v>0.14999999999999997</v>
      </c>
      <c r="P129" s="60"/>
      <c r="Q129" s="60">
        <f>N129-0.3</f>
        <v>-0.15000000000000002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5337.969999999999</v>
      </c>
      <c r="G130" s="62">
        <f t="shared" si="43"/>
        <v>296.1099999999997</v>
      </c>
      <c r="H130" s="72">
        <f>F130/E130*100</f>
        <v>105.87303098459695</v>
      </c>
      <c r="I130" s="61">
        <f t="shared" si="44"/>
        <v>-3412.7300000000014</v>
      </c>
      <c r="J130" s="61">
        <f>F130/D130*100</f>
        <v>61.00049138926028</v>
      </c>
      <c r="K130" s="61">
        <f>F130-6438.4</f>
        <v>-1100.4300000000003</v>
      </c>
      <c r="L130" s="139">
        <f>G130/6438.4</f>
        <v>0.0459912400596421</v>
      </c>
      <c r="M130" s="62">
        <f>M125+M128+M129+M127</f>
        <v>5</v>
      </c>
      <c r="N130" s="62">
        <f>N125+N128+N129+N127</f>
        <v>10.219999999999454</v>
      </c>
      <c r="O130" s="61">
        <f t="shared" si="45"/>
        <v>5.2199999999994535</v>
      </c>
      <c r="P130" s="61">
        <f>N130/M130*100</f>
        <v>204.3999999999891</v>
      </c>
      <c r="Q130" s="61">
        <f>N130-28.2</f>
        <v>-17.980000000000544</v>
      </c>
      <c r="R130" s="137">
        <f>N130/28.2</f>
        <v>0.36241134751771115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21.99</v>
      </c>
      <c r="G131" s="49">
        <f>F131-E131</f>
        <v>5.939999999999998</v>
      </c>
      <c r="H131" s="40">
        <f>F131/E131*100</f>
        <v>137.0093457943925</v>
      </c>
      <c r="I131" s="60">
        <f>F131-D131</f>
        <v>-8.010000000000002</v>
      </c>
      <c r="J131" s="60">
        <f>F131/D131*100</f>
        <v>73.3</v>
      </c>
      <c r="K131" s="60">
        <f>F131-17.3</f>
        <v>4.689999999999998</v>
      </c>
      <c r="L131" s="138">
        <f>F131/17.3</f>
        <v>1.2710982658959535</v>
      </c>
      <c r="M131" s="40">
        <f>E131-червень!E131</f>
        <v>0.40000000000000036</v>
      </c>
      <c r="N131" s="40">
        <f>F131-червень!F131</f>
        <v>0.8699999999999974</v>
      </c>
      <c r="O131" s="53">
        <f>N131-M131</f>
        <v>0.4699999999999971</v>
      </c>
      <c r="P131" s="60">
        <f>N131/M131*100</f>
        <v>217.49999999999918</v>
      </c>
      <c r="Q131" s="60">
        <f>N131-0.5</f>
        <v>0.36999999999999744</v>
      </c>
      <c r="R131" s="138">
        <f>N131/0.5</f>
        <v>1.7399999999999949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55767.34</v>
      </c>
      <c r="G134" s="50">
        <f t="shared" si="43"/>
        <v>-2934.310000000005</v>
      </c>
      <c r="H134" s="51">
        <f>F134/E134*100</f>
        <v>95.00131597663778</v>
      </c>
      <c r="I134" s="36">
        <f t="shared" si="44"/>
        <v>-64274.15000000001</v>
      </c>
      <c r="J134" s="36">
        <f>F134/D134*100</f>
        <v>46.456720922074524</v>
      </c>
      <c r="K134" s="36">
        <f>F134-65301.1</f>
        <v>-9533.760000000002</v>
      </c>
      <c r="L134" s="136">
        <f>F134/65301.1</f>
        <v>0.8540030719237501</v>
      </c>
      <c r="M134" s="31">
        <f>M117+M131+M124+M130+M133+M132</f>
        <v>10143.39</v>
      </c>
      <c r="N134" s="31">
        <f>N117+N131+N124+N130+N133+N132</f>
        <v>6951.950000000002</v>
      </c>
      <c r="O134" s="36">
        <f t="shared" si="45"/>
        <v>-3191.439999999998</v>
      </c>
      <c r="P134" s="36">
        <f>N134/M134*100</f>
        <v>68.53675151995539</v>
      </c>
      <c r="Q134" s="36">
        <f>N134-8564.5</f>
        <v>-1612.5499999999984</v>
      </c>
      <c r="R134" s="136">
        <f>N134/8564.5</f>
        <v>0.8117169712184017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319763.55000000005</v>
      </c>
      <c r="G135" s="50">
        <f t="shared" si="43"/>
        <v>-19170.00999999995</v>
      </c>
      <c r="H135" s="51">
        <f>F135/E135*100</f>
        <v>94.34402128842008</v>
      </c>
      <c r="I135" s="36">
        <f t="shared" si="44"/>
        <v>-307157.5399999999</v>
      </c>
      <c r="J135" s="36">
        <f>F135/D135*100</f>
        <v>51.005390487022865</v>
      </c>
      <c r="K135" s="36">
        <f>F135-344461.4</f>
        <v>-24697.849999999977</v>
      </c>
      <c r="L135" s="136">
        <f>F135/344461.4</f>
        <v>0.9283000940018243</v>
      </c>
      <c r="M135" s="22">
        <f>M107+M134</f>
        <v>49665.070000000014</v>
      </c>
      <c r="N135" s="22">
        <f>N107+N134</f>
        <v>38173.57000000001</v>
      </c>
      <c r="O135" s="36">
        <f t="shared" si="45"/>
        <v>-11491.500000000007</v>
      </c>
      <c r="P135" s="36">
        <f>N135/M135*100</f>
        <v>76.86200784575557</v>
      </c>
      <c r="Q135" s="36">
        <f>N135-50620.9</f>
        <v>-12447.329999999994</v>
      </c>
      <c r="R135" s="136">
        <f>N135/50620.9</f>
        <v>0.7541069005094735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4</v>
      </c>
      <c r="D137" s="4" t="s">
        <v>118</v>
      </c>
    </row>
    <row r="138" spans="2:17" ht="31.5">
      <c r="B138" s="78" t="s">
        <v>154</v>
      </c>
      <c r="C138" s="39">
        <f>IF(O107&lt;0,ABS(O107/C137),0)</f>
        <v>2075.015000000002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41845</v>
      </c>
      <c r="D139" s="39">
        <v>1085.8</v>
      </c>
      <c r="N139" s="195"/>
      <c r="O139" s="195"/>
    </row>
    <row r="140" spans="3:15" ht="15.75">
      <c r="C140" s="120">
        <v>41844</v>
      </c>
      <c r="D140" s="39">
        <v>1109.1</v>
      </c>
      <c r="F140" s="4" t="s">
        <v>166</v>
      </c>
      <c r="G140" s="196" t="s">
        <v>151</v>
      </c>
      <c r="H140" s="196"/>
      <c r="I140" s="115"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41843</v>
      </c>
      <c r="D141" s="39">
        <v>1956.3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119028.34644</v>
      </c>
      <c r="E143" s="80"/>
      <c r="F143" s="100" t="s">
        <v>147</v>
      </c>
      <c r="G143" s="196" t="s">
        <v>149</v>
      </c>
      <c r="H143" s="196"/>
      <c r="I143" s="116">
        <v>105203.12447999998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28777.71243999999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246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243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238</v>
      </c>
      <c r="H4" s="184" t="s">
        <v>239</v>
      </c>
      <c r="I4" s="186" t="s">
        <v>188</v>
      </c>
      <c r="J4" s="188" t="s">
        <v>189</v>
      </c>
      <c r="K4" s="190" t="s">
        <v>240</v>
      </c>
      <c r="L4" s="191"/>
      <c r="M4" s="167"/>
      <c r="N4" s="198" t="s">
        <v>247</v>
      </c>
      <c r="O4" s="186" t="s">
        <v>136</v>
      </c>
      <c r="P4" s="186" t="s">
        <v>135</v>
      </c>
      <c r="Q4" s="190" t="s">
        <v>242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237</v>
      </c>
      <c r="F5" s="181"/>
      <c r="G5" s="183"/>
      <c r="H5" s="185"/>
      <c r="I5" s="187"/>
      <c r="J5" s="189"/>
      <c r="K5" s="192"/>
      <c r="L5" s="193"/>
      <c r="M5" s="151" t="s">
        <v>241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v>2488.2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4"/>
      <c r="H138" s="194"/>
      <c r="I138" s="194"/>
      <c r="J138" s="194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5"/>
      <c r="O139" s="195"/>
    </row>
    <row r="140" spans="3:15" ht="15.75">
      <c r="C140" s="120">
        <v>41816</v>
      </c>
      <c r="D140" s="39">
        <v>4277.2</v>
      </c>
      <c r="F140" s="4" t="s">
        <v>166</v>
      </c>
      <c r="G140" s="196" t="s">
        <v>151</v>
      </c>
      <c r="H140" s="196"/>
      <c r="I140" s="115">
        <f>'[1]залишки  (2)'!$G$9/1000</f>
        <v>13825.22196</v>
      </c>
      <c r="J140" s="197" t="s">
        <v>161</v>
      </c>
      <c r="K140" s="197"/>
      <c r="L140" s="197"/>
      <c r="M140" s="197"/>
      <c r="N140" s="195"/>
      <c r="O140" s="195"/>
    </row>
    <row r="141" spans="3:15" ht="15.75">
      <c r="C141" s="120">
        <v>41815</v>
      </c>
      <c r="D141" s="39">
        <v>1877.7</v>
      </c>
      <c r="G141" s="200" t="s">
        <v>155</v>
      </c>
      <c r="H141" s="200"/>
      <c r="I141" s="112">
        <v>0</v>
      </c>
      <c r="J141" s="201" t="s">
        <v>162</v>
      </c>
      <c r="K141" s="201"/>
      <c r="L141" s="201"/>
      <c r="M141" s="201"/>
      <c r="N141" s="195"/>
      <c r="O141" s="195"/>
    </row>
    <row r="142" spans="7:13" ht="15.75" customHeight="1">
      <c r="G142" s="196" t="s">
        <v>148</v>
      </c>
      <c r="H142" s="196"/>
      <c r="I142" s="112">
        <f>'[1]залишки  (2)'!$G$8/1000</f>
        <v>0</v>
      </c>
      <c r="J142" s="197" t="s">
        <v>163</v>
      </c>
      <c r="K142" s="197"/>
      <c r="L142" s="197"/>
      <c r="M142" s="197"/>
    </row>
    <row r="143" spans="2:13" ht="18.75" customHeight="1">
      <c r="B143" s="202" t="s">
        <v>160</v>
      </c>
      <c r="C143" s="203"/>
      <c r="D143" s="117">
        <v>117976.29</v>
      </c>
      <c r="E143" s="80"/>
      <c r="F143" s="100" t="s">
        <v>147</v>
      </c>
      <c r="G143" s="196" t="s">
        <v>149</v>
      </c>
      <c r="H143" s="196"/>
      <c r="I143" s="116">
        <v>104151.07</v>
      </c>
      <c r="J143" s="197" t="s">
        <v>164</v>
      </c>
      <c r="K143" s="197"/>
      <c r="L143" s="197"/>
      <c r="M143" s="197"/>
    </row>
    <row r="144" spans="7:12" ht="9.75" customHeight="1">
      <c r="G144" s="204"/>
      <c r="H144" s="204"/>
      <c r="I144" s="98"/>
      <c r="J144" s="99"/>
      <c r="K144" s="99"/>
      <c r="L144" s="99"/>
    </row>
    <row r="145" spans="2:12" ht="22.5" customHeight="1">
      <c r="B145" s="205" t="s">
        <v>169</v>
      </c>
      <c r="C145" s="206"/>
      <c r="D145" s="119">
        <v>41386</v>
      </c>
      <c r="E145" s="77" t="s">
        <v>104</v>
      </c>
      <c r="G145" s="204"/>
      <c r="H145" s="204"/>
      <c r="I145" s="98"/>
      <c r="J145" s="99"/>
      <c r="K145" s="99"/>
      <c r="L145" s="99"/>
    </row>
    <row r="146" spans="4:15" ht="15.75">
      <c r="D146" s="114"/>
      <c r="N146" s="204"/>
      <c r="O146" s="204"/>
    </row>
    <row r="147" spans="4:15" ht="15.75">
      <c r="D147" s="113"/>
      <c r="I147" s="39"/>
      <c r="N147" s="207"/>
      <c r="O147" s="207"/>
    </row>
    <row r="148" spans="14:15" ht="15.75">
      <c r="N148" s="204"/>
      <c r="O148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233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229</v>
      </c>
      <c r="H4" s="184" t="s">
        <v>230</v>
      </c>
      <c r="I4" s="186" t="s">
        <v>188</v>
      </c>
      <c r="J4" s="188" t="s">
        <v>189</v>
      </c>
      <c r="K4" s="190" t="s">
        <v>231</v>
      </c>
      <c r="L4" s="191"/>
      <c r="M4" s="167"/>
      <c r="N4" s="198" t="s">
        <v>236</v>
      </c>
      <c r="O4" s="186" t="s">
        <v>136</v>
      </c>
      <c r="P4" s="186" t="s">
        <v>135</v>
      </c>
      <c r="Q4" s="190" t="s">
        <v>234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228</v>
      </c>
      <c r="F5" s="181"/>
      <c r="G5" s="183"/>
      <c r="H5" s="185"/>
      <c r="I5" s="187"/>
      <c r="J5" s="189"/>
      <c r="K5" s="192"/>
      <c r="L5" s="193"/>
      <c r="M5" s="151" t="s">
        <v>232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5"/>
      <c r="O138" s="195"/>
    </row>
    <row r="139" spans="3:15" ht="15.75">
      <c r="C139" s="120">
        <v>41788</v>
      </c>
      <c r="D139" s="39">
        <v>5993.3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41787</v>
      </c>
      <c r="D140" s="39">
        <v>2595.2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118982.48</v>
      </c>
      <c r="E142" s="80"/>
      <c r="F142" s="100" t="s">
        <v>147</v>
      </c>
      <c r="G142" s="196" t="s">
        <v>149</v>
      </c>
      <c r="H142" s="196"/>
      <c r="I142" s="116">
        <v>105157.26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27359.4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69" t="s">
        <v>226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224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225</v>
      </c>
      <c r="N3" s="168" t="s">
        <v>221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217</v>
      </c>
      <c r="H4" s="184" t="s">
        <v>218</v>
      </c>
      <c r="I4" s="186" t="s">
        <v>188</v>
      </c>
      <c r="J4" s="188" t="s">
        <v>189</v>
      </c>
      <c r="K4" s="190" t="s">
        <v>219</v>
      </c>
      <c r="L4" s="191"/>
      <c r="M4" s="167"/>
      <c r="N4" s="198" t="s">
        <v>227</v>
      </c>
      <c r="O4" s="186" t="s">
        <v>136</v>
      </c>
      <c r="P4" s="186" t="s">
        <v>135</v>
      </c>
      <c r="Q4" s="190" t="s">
        <v>222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216</v>
      </c>
      <c r="F5" s="181"/>
      <c r="G5" s="183"/>
      <c r="H5" s="185"/>
      <c r="I5" s="187"/>
      <c r="J5" s="189"/>
      <c r="K5" s="192"/>
      <c r="L5" s="193"/>
      <c r="M5" s="151" t="s">
        <v>220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5"/>
      <c r="O138" s="195"/>
    </row>
    <row r="139" spans="3:15" ht="15.75">
      <c r="C139" s="120">
        <v>41758</v>
      </c>
      <c r="D139" s="39">
        <v>5440.9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41757</v>
      </c>
      <c r="D140" s="39">
        <v>1923.2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123251.48</v>
      </c>
      <c r="E142" s="80"/>
      <c r="F142" s="100" t="s">
        <v>147</v>
      </c>
      <c r="G142" s="196" t="s">
        <v>149</v>
      </c>
      <c r="H142" s="196"/>
      <c r="I142" s="116">
        <v>109426.25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f>'[1]надх'!$B$52/1000</f>
        <v>28777.71243999999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175" t="s">
        <v>208</v>
      </c>
      <c r="E3" s="175"/>
      <c r="F3" s="176" t="s">
        <v>107</v>
      </c>
      <c r="G3" s="177"/>
      <c r="H3" s="177"/>
      <c r="I3" s="177"/>
      <c r="J3" s="177"/>
      <c r="K3" s="177"/>
      <c r="L3" s="178"/>
      <c r="M3" s="179" t="s">
        <v>210</v>
      </c>
      <c r="N3" s="168" t="s">
        <v>198</v>
      </c>
      <c r="O3" s="168"/>
      <c r="P3" s="168"/>
      <c r="Q3" s="168"/>
      <c r="R3" s="168"/>
    </row>
    <row r="4" spans="1:18" ht="22.5" customHeight="1">
      <c r="A4" s="171"/>
      <c r="B4" s="173"/>
      <c r="C4" s="174"/>
      <c r="D4" s="175"/>
      <c r="E4" s="175"/>
      <c r="F4" s="180" t="s">
        <v>116</v>
      </c>
      <c r="G4" s="182" t="s">
        <v>207</v>
      </c>
      <c r="H4" s="184" t="s">
        <v>195</v>
      </c>
      <c r="I4" s="186" t="s">
        <v>188</v>
      </c>
      <c r="J4" s="188" t="s">
        <v>189</v>
      </c>
      <c r="K4" s="190" t="s">
        <v>196</v>
      </c>
      <c r="L4" s="191"/>
      <c r="M4" s="167"/>
      <c r="N4" s="198" t="s">
        <v>213</v>
      </c>
      <c r="O4" s="186" t="s">
        <v>136</v>
      </c>
      <c r="P4" s="186" t="s">
        <v>135</v>
      </c>
      <c r="Q4" s="190" t="s">
        <v>197</v>
      </c>
      <c r="R4" s="191"/>
    </row>
    <row r="5" spans="1:18" ht="82.5" customHeight="1">
      <c r="A5" s="172"/>
      <c r="B5" s="173"/>
      <c r="C5" s="174"/>
      <c r="D5" s="150" t="s">
        <v>209</v>
      </c>
      <c r="E5" s="158" t="s">
        <v>214</v>
      </c>
      <c r="F5" s="181"/>
      <c r="G5" s="183"/>
      <c r="H5" s="185"/>
      <c r="I5" s="187"/>
      <c r="J5" s="189"/>
      <c r="K5" s="192"/>
      <c r="L5" s="193"/>
      <c r="M5" s="151" t="s">
        <v>211</v>
      </c>
      <c r="N5" s="199"/>
      <c r="O5" s="187"/>
      <c r="P5" s="187"/>
      <c r="Q5" s="192"/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5"/>
      <c r="O138" s="195"/>
    </row>
    <row r="139" spans="3:15" ht="15.75">
      <c r="C139" s="120">
        <v>41726</v>
      </c>
      <c r="D139" s="39">
        <v>4682.6</v>
      </c>
      <c r="F139" s="4" t="s">
        <v>166</v>
      </c>
      <c r="G139" s="196" t="s">
        <v>151</v>
      </c>
      <c r="H139" s="196"/>
      <c r="I139" s="115">
        <v>13825.22196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41725</v>
      </c>
      <c r="D140" s="39">
        <v>3360.7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114985.02570999999</v>
      </c>
      <c r="E142" s="80"/>
      <c r="F142" s="100" t="s">
        <v>147</v>
      </c>
      <c r="G142" s="196" t="s">
        <v>149</v>
      </c>
      <c r="H142" s="196"/>
      <c r="I142" s="116">
        <v>101159.80375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3918.1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9" t="s">
        <v>193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191</v>
      </c>
      <c r="F4" s="213" t="s">
        <v>116</v>
      </c>
      <c r="G4" s="215" t="s">
        <v>167</v>
      </c>
      <c r="H4" s="184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98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184</v>
      </c>
      <c r="L5" s="193"/>
      <c r="M5" s="221"/>
      <c r="N5" s="199"/>
      <c r="O5" s="211"/>
      <c r="P5" s="212"/>
      <c r="Q5" s="192" t="s">
        <v>199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5"/>
      <c r="O138" s="195"/>
    </row>
    <row r="139" spans="3:15" ht="15.75">
      <c r="C139" s="120">
        <v>41697</v>
      </c>
      <c r="D139" s="39">
        <v>2276.8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41696</v>
      </c>
      <c r="D140" s="39">
        <v>3746.1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f>'[1]залишки  (2)'!$G$8/1000</f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121970.53</v>
      </c>
      <c r="E142" s="80"/>
      <c r="F142" s="100" t="s">
        <v>147</v>
      </c>
      <c r="G142" s="196" t="s">
        <v>149</v>
      </c>
      <c r="H142" s="196"/>
      <c r="I142" s="116">
        <v>108145.31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9" t="s">
        <v>183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26"/>
      <c r="R1" s="127"/>
    </row>
    <row r="2" spans="2:18" s="1" customFormat="1" ht="15.75" customHeight="1">
      <c r="B2" s="170"/>
      <c r="C2" s="170"/>
      <c r="D2" s="17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71"/>
      <c r="B3" s="173"/>
      <c r="C3" s="174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88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71"/>
      <c r="B4" s="173"/>
      <c r="C4" s="174"/>
      <c r="D4" s="217"/>
      <c r="E4" s="222" t="s">
        <v>153</v>
      </c>
      <c r="F4" s="213" t="s">
        <v>116</v>
      </c>
      <c r="G4" s="215" t="s">
        <v>175</v>
      </c>
      <c r="H4" s="184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98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72"/>
      <c r="B5" s="173"/>
      <c r="C5" s="174"/>
      <c r="D5" s="217"/>
      <c r="E5" s="223"/>
      <c r="F5" s="214"/>
      <c r="G5" s="216"/>
      <c r="H5" s="185"/>
      <c r="I5" s="211"/>
      <c r="J5" s="209"/>
      <c r="K5" s="192" t="s">
        <v>177</v>
      </c>
      <c r="L5" s="193"/>
      <c r="M5" s="189"/>
      <c r="N5" s="199"/>
      <c r="O5" s="211"/>
      <c r="P5" s="212"/>
      <c r="Q5" s="192" t="s">
        <v>179</v>
      </c>
      <c r="R5" s="193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4"/>
      <c r="H137" s="194"/>
      <c r="I137" s="194"/>
      <c r="J137" s="19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5"/>
      <c r="O138" s="195"/>
    </row>
    <row r="139" spans="3:15" ht="15.75">
      <c r="C139" s="120">
        <v>41669</v>
      </c>
      <c r="D139" s="39">
        <v>4752.2</v>
      </c>
      <c r="F139" s="4" t="s">
        <v>166</v>
      </c>
      <c r="G139" s="196" t="s">
        <v>151</v>
      </c>
      <c r="H139" s="196"/>
      <c r="I139" s="115">
        <v>13825.22</v>
      </c>
      <c r="J139" s="197" t="s">
        <v>161</v>
      </c>
      <c r="K139" s="197"/>
      <c r="L139" s="197"/>
      <c r="M139" s="197"/>
      <c r="N139" s="195"/>
      <c r="O139" s="195"/>
    </row>
    <row r="140" spans="3:15" ht="15.75">
      <c r="C140" s="120">
        <v>41668</v>
      </c>
      <c r="D140" s="39">
        <v>1984.7</v>
      </c>
      <c r="G140" s="200" t="s">
        <v>155</v>
      </c>
      <c r="H140" s="200"/>
      <c r="I140" s="112">
        <v>0</v>
      </c>
      <c r="J140" s="201" t="s">
        <v>162</v>
      </c>
      <c r="K140" s="201"/>
      <c r="L140" s="201"/>
      <c r="M140" s="201"/>
      <c r="N140" s="195"/>
      <c r="O140" s="195"/>
    </row>
    <row r="141" spans="7:13" ht="15.75" customHeight="1">
      <c r="G141" s="196" t="s">
        <v>148</v>
      </c>
      <c r="H141" s="196"/>
      <c r="I141" s="112">
        <v>0</v>
      </c>
      <c r="J141" s="197" t="s">
        <v>163</v>
      </c>
      <c r="K141" s="197"/>
      <c r="L141" s="197"/>
      <c r="M141" s="197"/>
    </row>
    <row r="142" spans="2:13" ht="18.75" customHeight="1">
      <c r="B142" s="202" t="s">
        <v>160</v>
      </c>
      <c r="C142" s="203"/>
      <c r="D142" s="117">
        <v>111410.62</v>
      </c>
      <c r="E142" s="80"/>
      <c r="F142" s="100" t="s">
        <v>147</v>
      </c>
      <c r="G142" s="196" t="s">
        <v>149</v>
      </c>
      <c r="H142" s="196"/>
      <c r="I142" s="116">
        <v>97585.4</v>
      </c>
      <c r="J142" s="197" t="s">
        <v>164</v>
      </c>
      <c r="K142" s="197"/>
      <c r="L142" s="197"/>
      <c r="M142" s="197"/>
    </row>
    <row r="143" spans="7:12" ht="9.75" customHeight="1">
      <c r="G143" s="204"/>
      <c r="H143" s="204"/>
      <c r="I143" s="98"/>
      <c r="J143" s="99"/>
      <c r="K143" s="99"/>
      <c r="L143" s="99"/>
    </row>
    <row r="144" spans="2:12" ht="22.5" customHeight="1">
      <c r="B144" s="205" t="s">
        <v>169</v>
      </c>
      <c r="C144" s="206"/>
      <c r="D144" s="119">
        <v>0</v>
      </c>
      <c r="E144" s="77" t="s">
        <v>104</v>
      </c>
      <c r="G144" s="204"/>
      <c r="H144" s="204"/>
      <c r="I144" s="98"/>
      <c r="J144" s="99"/>
      <c r="K144" s="99"/>
      <c r="L144" s="99"/>
    </row>
    <row r="145" spans="4:15" ht="15.75">
      <c r="D145" s="114"/>
      <c r="N145" s="204"/>
      <c r="O145" s="204"/>
    </row>
    <row r="146" spans="4:15" ht="15.75">
      <c r="D146" s="113"/>
      <c r="I146" s="39"/>
      <c r="N146" s="207"/>
      <c r="O146" s="207"/>
    </row>
    <row r="147" spans="14:15" ht="15.75">
      <c r="N147" s="204"/>
      <c r="O147" s="20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2014-07-28T11:48:21Z</cp:lastPrinted>
  <dcterms:created xsi:type="dcterms:W3CDTF">2003-07-28T11:27:56Z</dcterms:created>
  <dcterms:modified xsi:type="dcterms:W3CDTF">2014-07-28T12:04:52Z</dcterms:modified>
  <cp:category/>
  <cp:version/>
  <cp:contentType/>
  <cp:contentStatus/>
</cp:coreProperties>
</file>